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Assumptions" sheetId="2" state="visible" r:id="rId2"/>
    <sheet xmlns:r="http://schemas.openxmlformats.org/officeDocument/2006/relationships" name="Scenarios" sheetId="3" state="visible" r:id="rId3"/>
    <sheet xmlns:r="http://schemas.openxmlformats.org/officeDocument/2006/relationships" name="Monthly Ramp-up" sheetId="4" state="visible" r:id="rId4"/>
    <sheet xmlns:r="http://schemas.openxmlformats.org/officeDocument/2006/relationships" name="Sensitivity" sheetId="5" state="visible" r:id="rId5"/>
    <sheet xmlns:r="http://schemas.openxmlformats.org/officeDocument/2006/relationships" name="Client ROI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#,##0;[Red](#,##0);&quot;-&quot;"/>
    <numFmt numFmtId="165" formatCode="#,##0.00;[Red](#,##0.00);&quot;-&quot;"/>
    <numFmt numFmtId="166" formatCode="&quot;€&quot;#,##0;[Red](&quot;€&quot;#,##0);&quot;-&quot;"/>
    <numFmt numFmtId="167" formatCode="0.0%;[Red](0.0%);&quot;-&quot;"/>
    <numFmt numFmtId="168" formatCode="&quot;M&quot;0.0"/>
    <numFmt numFmtId="169" formatCode="0.00&quot;x&quot;"/>
  </numFmts>
  <fonts count="8">
    <font>
      <name val="Calibri"/>
      <family val="2"/>
      <color theme="1"/>
      <sz val="11"/>
      <scheme val="minor"/>
    </font>
    <font>
      <name val="Calibri"/>
      <b val="1"/>
      <color rgb="000B1F2E"/>
      <sz val="18"/>
    </font>
    <font>
      <name val="Calibri"/>
      <i val="1"/>
      <color rgb="00555555"/>
      <sz val="11"/>
    </font>
    <font>
      <name val="Calibri"/>
      <b val="1"/>
      <color rgb="00000000"/>
      <sz val="11"/>
    </font>
    <font>
      <name val="Calibri"/>
      <color rgb="00000000"/>
      <sz val="11"/>
    </font>
    <font>
      <name val="Calibri"/>
      <b val="1"/>
      <color rgb="000000FF"/>
      <sz val="11"/>
    </font>
    <font>
      <name val="Calibri"/>
      <color rgb="00008000"/>
      <sz val="11"/>
    </font>
    <font>
      <name val="Calibri"/>
      <b val="1"/>
      <color rgb="00FFFFFF"/>
      <sz val="12"/>
    </font>
  </fonts>
  <fills count="7">
    <fill>
      <patternFill/>
    </fill>
    <fill>
      <patternFill patternType="gray125"/>
    </fill>
    <fill>
      <patternFill patternType="solid">
        <fgColor rgb="00FFF7C2"/>
        <bgColor rgb="00FFF7C2"/>
      </patternFill>
    </fill>
    <fill>
      <patternFill patternType="solid">
        <fgColor rgb="000B1F2E"/>
        <bgColor rgb="000B1F2E"/>
      </patternFill>
    </fill>
    <fill>
      <patternFill patternType="solid">
        <fgColor rgb="00F9D9D9"/>
        <bgColor rgb="00F9D9D9"/>
      </patternFill>
    </fill>
    <fill>
      <patternFill patternType="solid">
        <fgColor rgb="00D6F2E4"/>
        <bgColor rgb="00D6F2E4"/>
      </patternFill>
    </fill>
    <fill>
      <patternFill patternType="solid">
        <fgColor rgb="00FAEBC9"/>
        <bgColor rgb="00FAEBC9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2EBE7C"/>
      </left>
      <right style="medium">
        <color rgb="002EBE7C"/>
      </right>
      <top style="medium">
        <color rgb="002EBE7C"/>
      </top>
      <bottom style="medium">
        <color rgb="002EBE7C"/>
      </bottom>
    </border>
  </borders>
  <cellStyleXfs count="1">
    <xf numFmtId="0" fontId="0" fillId="0" borderId="0"/>
  </cellStyleXfs>
  <cellXfs count="5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5" fillId="2" borderId="0" pivotButton="0" quotePrefix="0" xfId="0"/>
    <xf numFmtId="0" fontId="6" fillId="0" borderId="0" pivotButton="0" quotePrefix="0" xfId="0"/>
    <xf numFmtId="0" fontId="7" fillId="3" borderId="0" pivotButton="0" quotePrefix="0" xfId="0"/>
    <xf numFmtId="164" fontId="5" fillId="2" borderId="1" applyAlignment="1" pivotButton="0" quotePrefix="0" xfId="0">
      <alignment horizontal="right" vertical="center"/>
    </xf>
    <xf numFmtId="0" fontId="4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top" wrapText="1"/>
    </xf>
    <xf numFmtId="165" fontId="5" fillId="0" borderId="1" applyAlignment="1" pivotButton="0" quotePrefix="0" xfId="0">
      <alignment horizontal="right" vertical="center"/>
    </xf>
    <xf numFmtId="166" fontId="4" fillId="0" borderId="1" applyAlignment="1" pivotButton="0" quotePrefix="0" xfId="0">
      <alignment horizontal="right" vertical="center"/>
    </xf>
    <xf numFmtId="165" fontId="5" fillId="2" borderId="1" applyAlignment="1" pivotButton="0" quotePrefix="0" xfId="0">
      <alignment horizontal="right" vertical="center"/>
    </xf>
    <xf numFmtId="164" fontId="5" fillId="0" borderId="1" applyAlignment="1" pivotButton="0" quotePrefix="0" xfId="0">
      <alignment horizontal="right" vertical="center"/>
    </xf>
    <xf numFmtId="164" fontId="4" fillId="0" borderId="1" applyAlignment="1" pivotButton="0" quotePrefix="0" xfId="0">
      <alignment horizontal="right" vertical="center"/>
    </xf>
    <xf numFmtId="166" fontId="5" fillId="0" borderId="1" applyAlignment="1" pivotButton="0" quotePrefix="0" xfId="0">
      <alignment horizontal="right" vertical="center"/>
    </xf>
    <xf numFmtId="167" fontId="5" fillId="0" borderId="1" applyAlignment="1" pivotButton="0" quotePrefix="0" xfId="0">
      <alignment horizontal="right" vertical="center"/>
    </xf>
    <xf numFmtId="0" fontId="7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0" fontId="4" fillId="0" borderId="1" pivotButton="0" quotePrefix="0" xfId="0"/>
    <xf numFmtId="164" fontId="6" fillId="0" borderId="1" applyAlignment="1" pivotButton="0" quotePrefix="0" xfId="0">
      <alignment horizontal="right" vertical="center"/>
    </xf>
    <xf numFmtId="166" fontId="6" fillId="0" borderId="1" applyAlignment="1" pivotButton="0" quotePrefix="0" xfId="0">
      <alignment horizontal="right" vertical="center"/>
    </xf>
    <xf numFmtId="0" fontId="3" fillId="0" borderId="1" pivotButton="0" quotePrefix="0" xfId="0"/>
    <xf numFmtId="166" fontId="3" fillId="5" borderId="1" applyAlignment="1" pivotButton="0" quotePrefix="0" xfId="0">
      <alignment horizontal="right" vertical="center"/>
    </xf>
    <xf numFmtId="167" fontId="6" fillId="0" borderId="1" applyAlignment="1" pivotButton="0" quotePrefix="0" xfId="0">
      <alignment horizontal="right" vertical="center"/>
    </xf>
    <xf numFmtId="168" fontId="4" fillId="0" borderId="1" applyAlignment="1" pivotButton="0" quotePrefix="0" xfId="0">
      <alignment horizontal="right" vertical="center"/>
    </xf>
    <xf numFmtId="169" fontId="4" fillId="0" borderId="1" applyAlignment="1" pivotButton="0" quotePrefix="0" xfId="0">
      <alignment horizontal="right" vertical="center"/>
    </xf>
    <xf numFmtId="164" fontId="6" fillId="0" borderId="0" applyAlignment="1" pivotButton="0" quotePrefix="0" xfId="0">
      <alignment horizontal="right" vertical="center"/>
    </xf>
    <xf numFmtId="0" fontId="7" fillId="3" borderId="1" pivotButton="0" quotePrefix="0" xfId="0"/>
    <xf numFmtId="165" fontId="4" fillId="0" borderId="1" applyAlignment="1" pivotButton="0" quotePrefix="0" xfId="0">
      <alignment horizontal="right" vertical="center"/>
    </xf>
    <xf numFmtId="166" fontId="3" fillId="0" borderId="1" applyAlignment="1" pivotButton="0" quotePrefix="0" xfId="0">
      <alignment horizontal="right" vertical="center"/>
    </xf>
    <xf numFmtId="0" fontId="7" fillId="3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center"/>
    </xf>
    <xf numFmtId="165" fontId="5" fillId="2" borderId="1" applyAlignment="1" pivotButton="0" quotePrefix="0" xfId="0">
      <alignment horizontal="center" vertical="center"/>
    </xf>
    <xf numFmtId="168" fontId="4" fillId="0" borderId="1" applyAlignment="1" pivotButton="0" quotePrefix="0" xfId="0">
      <alignment horizontal="center" vertical="center"/>
    </xf>
    <xf numFmtId="168" fontId="4" fillId="0" borderId="2" applyAlignment="1" pivotButton="0" quotePrefix="0" xfId="0">
      <alignment horizontal="center" vertical="center"/>
    </xf>
    <xf numFmtId="0" fontId="0" fillId="5" borderId="0" applyAlignment="1" pivotButton="0" quotePrefix="0" xfId="0">
      <alignment horizontal="center" vertical="center"/>
    </xf>
    <xf numFmtId="0" fontId="0" fillId="6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166" fontId="4" fillId="0" borderId="1" applyAlignment="1" pivotButton="0" quotePrefix="0" xfId="0">
      <alignment horizontal="center" vertical="center"/>
    </xf>
    <xf numFmtId="166" fontId="4" fillId="0" borderId="2" applyAlignment="1" pivotButton="0" quotePrefix="0" xfId="0">
      <alignment horizontal="center" vertical="center"/>
    </xf>
    <xf numFmtId="164" fontId="4" fillId="0" borderId="0" applyAlignment="1" pivotButton="0" quotePrefix="0" xfId="0">
      <alignment horizontal="right" vertical="center"/>
    </xf>
    <xf numFmtId="165" fontId="6" fillId="0" borderId="0" applyAlignment="1" pivotButton="0" quotePrefix="0" xfId="0">
      <alignment horizontal="right" vertical="center"/>
    </xf>
    <xf numFmtId="166" fontId="3" fillId="2" borderId="0" applyAlignment="1" pivotButton="0" quotePrefix="0" xfId="0">
      <alignment horizontal="right" vertical="center"/>
    </xf>
    <xf numFmtId="166" fontId="4" fillId="0" borderId="0" applyAlignment="1" pivotButton="0" quotePrefix="0" xfId="0">
      <alignment horizontal="right" vertical="center"/>
    </xf>
    <xf numFmtId="166" fontId="5" fillId="0" borderId="0" applyAlignment="1" pivotButton="0" quotePrefix="0" xfId="0">
      <alignment horizontal="right" vertical="center"/>
    </xf>
    <xf numFmtId="166" fontId="3" fillId="5" borderId="0" applyAlignment="1" pivotButton="0" quotePrefix="0" xfId="0">
      <alignment horizontal="right" vertical="center"/>
    </xf>
    <xf numFmtId="169" fontId="3" fillId="2" borderId="0" applyAlignment="1" pivotButton="0" quotePrefix="0" xfId="0">
      <alignment horizontal="right" vertical="center"/>
    </xf>
    <xf numFmtId="167" fontId="4" fillId="0" borderId="0" applyAlignment="1" pivotButton="0" quotePrefix="0" xfId="0">
      <alignment horizontal="right" vertical="center"/>
    </xf>
    <xf numFmtId="168" fontId="4" fillId="0" borderId="0" applyAlignment="1" pivotButton="0" quotePrefix="0" xfId="0">
      <alignment horizontal="right" vertical="center"/>
    </xf>
    <xf numFmtId="166" fontId="3" fillId="0" borderId="0" applyAlignment="1" pivotButton="0" quotePrefix="0" xfId="0">
      <alignment horizontal="right" vertical="center"/>
    </xf>
  </cellXfs>
  <cellStyles count="1">
    <cellStyle name="Normal" xfId="0" builtinId="0" hidden="0"/>
  </cellStyles>
  <dxfs count="3">
    <dxf>
      <fill>
        <patternFill patternType="solid">
          <fgColor rgb="00D6F2E4"/>
          <bgColor rgb="00D6F2E4"/>
        </patternFill>
      </fill>
    </dxf>
    <dxf>
      <fill>
        <patternFill patternType="solid">
          <fgColor rgb="00F9D9D9"/>
          <bgColor rgb="00F9D9D9"/>
        </patternFill>
      </fill>
    </dxf>
    <dxf>
      <fill>
        <patternFill patternType="solid">
          <fgColor rgb="00FAEBC9"/>
          <bgColor rgb="00FAEBC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3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10" customWidth="1" min="2" max="2"/>
  </cols>
  <sheetData>
    <row r="2">
      <c r="B2" s="1" t="inlineStr">
        <is>
          <t>NetZeroFleet — Financial Model</t>
        </is>
      </c>
    </row>
    <row r="3">
      <c r="B3" s="2" t="inlineStr">
        <is>
          <t>Versione 1.0 · Q1 2026 · NetZero-Earth Group / myco2.green</t>
        </is>
      </c>
    </row>
    <row r="4">
      <c r="B4" t="inlineStr"/>
    </row>
    <row r="5">
      <c r="B5" s="3" t="inlineStr">
        <is>
          <t>LOGICA DEL MODELLO (allineata al pitch v9)</t>
        </is>
      </c>
    </row>
    <row r="6">
      <c r="B6" t="inlineStr"/>
    </row>
    <row r="7">
      <c r="B7" s="4" t="inlineStr">
        <is>
          <t>• Pool: 400.000 tCO2 acquistati a costo medio €4 → valore allocato €1,6M (al costo).</t>
        </is>
      </c>
    </row>
    <row r="8">
      <c r="B8" s="4" t="inlineStr">
        <is>
          <t>• Vendita: i crediti sono venduti al cliente a €15 (Premium) o €22 (Strategic) → ricavi €6,56M @ Premium.</t>
        </is>
      </c>
    </row>
    <row r="9">
      <c r="B9" s="4" t="inlineStr">
        <is>
          <t>• Allocazione veicoli: pool serve fino a (Pool / t-per-veicolo) veicoli. Es: 400k / 2,5 = 160k veicoli/anno coperti.</t>
        </is>
      </c>
    </row>
    <row r="10">
      <c r="B10" s="4" t="inlineStr">
        <is>
          <t>• Lo scenario veicoli (3k/5k/7,5k) determina la quota di pool consumata e il margine unitario realizzato.</t>
        </is>
      </c>
    </row>
    <row r="11">
      <c r="B11" t="inlineStr"/>
    </row>
    <row r="12">
      <c r="B12" s="3" t="inlineStr">
        <is>
          <t>COME USARE</t>
        </is>
      </c>
    </row>
    <row r="13">
      <c r="B13" t="inlineStr"/>
    </row>
    <row r="14">
      <c r="B14" s="4" t="inlineStr">
        <is>
          <t>• Modificare SOLO le celle BLU (input). Quelle su sfondo GIALLO sono i driver principali.</t>
        </is>
      </c>
    </row>
    <row r="15">
      <c r="B15" s="4" t="inlineStr">
        <is>
          <t>• Celle NERE = formule. Celle VERDI = link tra fogli.</t>
        </is>
      </c>
    </row>
    <row r="16">
      <c r="B16" t="inlineStr"/>
    </row>
    <row r="17">
      <c r="B17" s="3" t="inlineStr">
        <is>
          <t>STRUTTURA</t>
        </is>
      </c>
    </row>
    <row r="18">
      <c r="B18" t="inlineStr"/>
    </row>
    <row r="19">
      <c r="B19" s="4" t="inlineStr">
        <is>
          <t>1. Assumptions       — driver modificabili</t>
        </is>
      </c>
    </row>
    <row r="20">
      <c r="B20" s="4" t="inlineStr">
        <is>
          <t>2. Scenarios         — Worst / Base / Best</t>
        </is>
      </c>
    </row>
    <row r="21">
      <c r="B21" s="4" t="inlineStr">
        <is>
          <t>3. Monthly Ramp-up   — 12 mesi scenario BASE</t>
        </is>
      </c>
    </row>
    <row r="22">
      <c r="B22" s="4" t="inlineStr">
        <is>
          <t>4. Sensitivity       — matrice 3×3 prezzo × t/veh</t>
        </is>
      </c>
    </row>
    <row r="23">
      <c r="B23" s="4" t="inlineStr">
        <is>
          <t>5. Client ROI        — ROI ESG cliente automotive</t>
        </is>
      </c>
    </row>
    <row r="24">
      <c r="B24" t="inlineStr"/>
    </row>
    <row r="25">
      <c r="B25" s="3" t="inlineStr">
        <is>
          <t>LEGENDA COLORI</t>
        </is>
      </c>
    </row>
    <row r="26">
      <c r="B26" t="inlineStr"/>
    </row>
    <row r="27">
      <c r="B27" s="5" t="inlineStr">
        <is>
          <t xml:space="preserve">    ◼  Input modificabile</t>
        </is>
      </c>
    </row>
    <row r="28">
      <c r="B28" s="6" t="inlineStr">
        <is>
          <t xml:space="preserve">    ◼  Driver chiave</t>
        </is>
      </c>
    </row>
    <row r="29">
      <c r="B29" s="4" t="inlineStr">
        <is>
          <t xml:space="preserve">    ◼  Formula calcolata</t>
        </is>
      </c>
    </row>
    <row r="30">
      <c r="B30" s="7" t="inlineStr">
        <is>
          <t xml:space="preserve">    ◼  Link tra fogli</t>
        </is>
      </c>
    </row>
    <row r="33">
      <c r="B33" s="2" t="inlineStr">
        <is>
          <t>Contatto: Nicola Riggi · +39 388 831 8757 · info@netzero-earth.com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E4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2" customWidth="1" min="2" max="2"/>
    <col width="16" customWidth="1" min="3" max="3"/>
    <col width="12" customWidth="1" min="4" max="4"/>
    <col width="60" customWidth="1" min="5" max="5"/>
  </cols>
  <sheetData>
    <row r="2">
      <c r="B2" s="1" t="inlineStr">
        <is>
          <t>Assumptions — Driver del modello</t>
        </is>
      </c>
    </row>
    <row r="3">
      <c r="B3" s="2" t="inlineStr">
        <is>
          <t>Modificare le celle BLU. Quelle su sfondo GIALLO sono i driver principali.</t>
        </is>
      </c>
    </row>
    <row r="5">
      <c r="B5" s="8" t="inlineStr">
        <is>
          <t>POOL CARBON CREDITS</t>
        </is>
      </c>
      <c r="C5" s="8" t="n"/>
      <c r="D5" s="8" t="n"/>
      <c r="E5" s="8" t="n"/>
    </row>
    <row r="6">
      <c r="B6" s="4" t="inlineStr">
        <is>
          <t>Carbon credits allocati</t>
        </is>
      </c>
      <c r="C6" s="9" t="n">
        <v>400000</v>
      </c>
      <c r="D6" s="10" t="inlineStr">
        <is>
          <t>tCO2</t>
        </is>
      </c>
      <c r="E6" s="11" t="inlineStr">
        <is>
          <t>Verra/Gold Standard certificati</t>
        </is>
      </c>
    </row>
    <row r="7">
      <c r="B7" s="4" t="inlineStr">
        <is>
          <t>Costo medio acquisto credito</t>
        </is>
      </c>
      <c r="C7" s="12" t="n">
        <v>4</v>
      </c>
      <c r="D7" s="10" t="inlineStr">
        <is>
          <t>€/tCO2</t>
        </is>
      </c>
      <c r="E7" s="11" t="inlineStr">
        <is>
          <t>Costo sourcing NetZero-Earth (Verra spot)</t>
        </is>
      </c>
    </row>
    <row r="8">
      <c r="B8" s="4" t="inlineStr">
        <is>
          <t>Pool valore al costo</t>
        </is>
      </c>
      <c r="C8" s="13">
        <f>C6*C7</f>
        <v/>
      </c>
      <c r="D8" s="10" t="inlineStr">
        <is>
          <t>€</t>
        </is>
      </c>
      <c r="E8" s="11" t="inlineStr">
        <is>
          <t>Pool a costo (sourcing)</t>
        </is>
      </c>
    </row>
    <row r="10">
      <c r="B10" s="8" t="inlineStr">
        <is>
          <t>PRICING &amp; EMISSIONI</t>
        </is>
      </c>
      <c r="C10" s="8" t="n"/>
      <c r="D10" s="8" t="n"/>
      <c r="E10" s="8" t="n"/>
    </row>
    <row r="11">
      <c r="B11" s="4" t="inlineStr">
        <is>
          <t>Prezzo vendita Premium</t>
        </is>
      </c>
      <c r="C11" s="14" t="n">
        <v>15</v>
      </c>
      <c r="D11" s="10" t="inlineStr">
        <is>
          <t>€/tCO2</t>
        </is>
      </c>
      <c r="E11" s="11" t="inlineStr">
        <is>
          <t>Tier base · sweet spot</t>
        </is>
      </c>
    </row>
    <row r="12">
      <c r="B12" s="4" t="inlineStr">
        <is>
          <t>Prezzo vendita Strategic</t>
        </is>
      </c>
      <c r="C12" s="12" t="n">
        <v>22</v>
      </c>
      <c r="D12" s="10" t="inlineStr">
        <is>
          <t>€/tCO2</t>
        </is>
      </c>
      <c r="E12" s="11" t="inlineStr">
        <is>
          <t>Tier premium audit-ready</t>
        </is>
      </c>
    </row>
    <row r="13">
      <c r="B13" s="4" t="inlineStr">
        <is>
          <t>Emissioni medie per veicolo·anno</t>
        </is>
      </c>
      <c r="C13" s="14" t="n">
        <v>2.5</v>
      </c>
      <c r="D13" s="10" t="inlineStr">
        <is>
          <t>tCO2</t>
        </is>
      </c>
      <c r="E13" s="11" t="inlineStr">
        <is>
          <t>Flotta mista ICE/ibrida noleggio LT</t>
        </is>
      </c>
    </row>
    <row r="14">
      <c r="B14" s="4" t="inlineStr">
        <is>
          <t>Pool valore @ Premium (ricavi max)</t>
        </is>
      </c>
      <c r="C14" s="13">
        <f>C6*C11</f>
        <v/>
      </c>
      <c r="D14" s="10" t="inlineStr">
        <is>
          <t>€</t>
        </is>
      </c>
      <c r="E14" s="11" t="inlineStr">
        <is>
          <t>Ricavi se pool 100% venduto</t>
        </is>
      </c>
    </row>
    <row r="16">
      <c r="B16" s="8" t="inlineStr">
        <is>
          <t>SCENARI FLOTTA (veicoli pilota 12 mesi)</t>
        </is>
      </c>
      <c r="C16" s="8" t="n"/>
      <c r="D16" s="8" t="n"/>
      <c r="E16" s="8" t="n"/>
    </row>
    <row r="17">
      <c r="B17" s="4" t="inlineStr">
        <is>
          <t>Worst — veicoli</t>
        </is>
      </c>
      <c r="C17" s="15" t="n">
        <v>3000</v>
      </c>
      <c r="D17" s="10" t="inlineStr">
        <is>
          <t>veh</t>
        </is>
      </c>
      <c r="E17" s="11" t="inlineStr">
        <is>
          <t>Adoption prudenziale</t>
        </is>
      </c>
    </row>
    <row r="18">
      <c r="B18" s="4" t="inlineStr">
        <is>
          <t>Base — veicoli</t>
        </is>
      </c>
      <c r="C18" s="9" t="n">
        <v>5000</v>
      </c>
      <c r="D18" s="10" t="inlineStr">
        <is>
          <t>veh</t>
        </is>
      </c>
      <c r="E18" s="11" t="inlineStr">
        <is>
          <t>Adoption attesa</t>
        </is>
      </c>
    </row>
    <row r="19">
      <c r="B19" s="4" t="inlineStr">
        <is>
          <t>Best — veicoli</t>
        </is>
      </c>
      <c r="C19" s="15" t="n">
        <v>7500</v>
      </c>
      <c r="D19" s="10" t="inlineStr">
        <is>
          <t>veh</t>
        </is>
      </c>
      <c r="E19" s="11" t="inlineStr">
        <is>
          <t>Adoption accelerata</t>
        </is>
      </c>
    </row>
    <row r="20">
      <c r="B20" s="4" t="inlineStr">
        <is>
          <t>Capacità pool (veicoli copribili)</t>
        </is>
      </c>
      <c r="C20" s="16">
        <f>C6/C13</f>
        <v/>
      </c>
      <c r="D20" s="10" t="inlineStr">
        <is>
          <t>veh</t>
        </is>
      </c>
      <c r="E20" s="11" t="inlineStr">
        <is>
          <t>Pool / t per veicolo·anno</t>
        </is>
      </c>
    </row>
    <row r="22">
      <c r="B22" s="8" t="inlineStr">
        <is>
          <t>COSTI OPERATIVI NETZERO-EARTH</t>
        </is>
      </c>
      <c r="C22" s="8" t="n"/>
      <c r="D22" s="8" t="n"/>
      <c r="E22" s="8" t="n"/>
    </row>
    <row r="23">
      <c r="B23" s="4" t="inlineStr">
        <is>
          <t>Costo MRV mensile (asset-level)</t>
        </is>
      </c>
      <c r="C23" s="12" t="n">
        <v>0.5</v>
      </c>
      <c r="D23" s="10" t="inlineStr">
        <is>
          <t>€/veh/mese</t>
        </is>
      </c>
      <c r="E23" s="11" t="inlineStr">
        <is>
          <t>Tracciabilità on-chain + reporting</t>
        </is>
      </c>
    </row>
    <row r="24">
      <c r="B24" s="4" t="inlineStr">
        <is>
          <t>Costo audit terzo annuale</t>
        </is>
      </c>
      <c r="C24" s="17" t="n">
        <v>80000</v>
      </c>
      <c r="D24" s="10" t="inlineStr">
        <is>
          <t>€/anno</t>
        </is>
      </c>
      <c r="E24" s="11" t="inlineStr">
        <is>
          <t>Ente certificatore esterno</t>
        </is>
      </c>
    </row>
    <row r="25">
      <c r="B25" s="4" t="inlineStr">
        <is>
          <t>Costo piattaforma / tech</t>
        </is>
      </c>
      <c r="C25" s="17" t="n">
        <v>120000</v>
      </c>
      <c r="D25" s="10" t="inlineStr">
        <is>
          <t>€/anno</t>
        </is>
      </c>
      <c r="E25" s="11" t="inlineStr">
        <is>
          <t>Infra blockchain + dashboard</t>
        </is>
      </c>
    </row>
    <row r="26">
      <c r="B26" s="4" t="inlineStr">
        <is>
          <t>Costo team operativo</t>
        </is>
      </c>
      <c r="C26" s="17" t="n">
        <v>200000</v>
      </c>
      <c r="D26" s="10" t="inlineStr">
        <is>
          <t>€/anno</t>
        </is>
      </c>
      <c r="E26" s="11" t="inlineStr">
        <is>
          <t>Operations + commerciale</t>
        </is>
      </c>
    </row>
    <row r="27">
      <c r="B27" s="4" t="inlineStr">
        <is>
          <t>Totale OPEX fissi annuali</t>
        </is>
      </c>
      <c r="C27" s="13">
        <f>C24+C25+C26</f>
        <v/>
      </c>
      <c r="D27" s="10" t="inlineStr">
        <is>
          <t>€</t>
        </is>
      </c>
      <c r="E27" s="11" t="inlineStr">
        <is>
          <t>Audit + tech + team</t>
        </is>
      </c>
    </row>
    <row r="29">
      <c r="B29" s="8" t="inlineStr">
        <is>
          <t>RAMP-UP MENSILE (% veicoli attivi cumulativi)</t>
        </is>
      </c>
      <c r="C29" s="8" t="n"/>
      <c r="D29" s="8" t="n"/>
      <c r="E29" s="8" t="n"/>
    </row>
    <row r="30">
      <c r="B30" s="4" t="inlineStr">
        <is>
          <t>Mese 1</t>
        </is>
      </c>
      <c r="C30" s="18" t="n">
        <v>0.1</v>
      </c>
      <c r="D30" s="10" t="inlineStr">
        <is>
          <t>%</t>
        </is>
      </c>
      <c r="E30" s="11" t="inlineStr">
        <is>
          <t>Quota cumulativa veicoli attivi</t>
        </is>
      </c>
    </row>
    <row r="31">
      <c r="B31" s="4" t="inlineStr">
        <is>
          <t>Mese 2</t>
        </is>
      </c>
      <c r="C31" s="18" t="n">
        <v>0.25</v>
      </c>
      <c r="D31" s="10" t="inlineStr">
        <is>
          <t>%</t>
        </is>
      </c>
      <c r="E31" s="11" t="inlineStr">
        <is>
          <t>Quota cumulativa veicoli attivi</t>
        </is>
      </c>
    </row>
    <row r="32">
      <c r="B32" s="4" t="inlineStr">
        <is>
          <t>Mese 3</t>
        </is>
      </c>
      <c r="C32" s="18" t="n">
        <v>0.45</v>
      </c>
      <c r="D32" s="10" t="inlineStr">
        <is>
          <t>%</t>
        </is>
      </c>
      <c r="E32" s="11" t="inlineStr">
        <is>
          <t>Quota cumulativa veicoli attivi</t>
        </is>
      </c>
    </row>
    <row r="33">
      <c r="B33" s="4" t="inlineStr">
        <is>
          <t>Mese 4</t>
        </is>
      </c>
      <c r="C33" s="18" t="n">
        <v>0.65</v>
      </c>
      <c r="D33" s="10" t="inlineStr">
        <is>
          <t>%</t>
        </is>
      </c>
      <c r="E33" s="11" t="inlineStr">
        <is>
          <t>Quota cumulativa veicoli attivi</t>
        </is>
      </c>
    </row>
    <row r="34">
      <c r="B34" s="4" t="inlineStr">
        <is>
          <t>Mese 5</t>
        </is>
      </c>
      <c r="C34" s="18" t="n">
        <v>0.8</v>
      </c>
      <c r="D34" s="10" t="inlineStr">
        <is>
          <t>%</t>
        </is>
      </c>
      <c r="E34" s="11" t="inlineStr">
        <is>
          <t>Quota cumulativa veicoli attivi</t>
        </is>
      </c>
    </row>
    <row r="35">
      <c r="B35" s="4" t="inlineStr">
        <is>
          <t>Mese 6</t>
        </is>
      </c>
      <c r="C35" s="18" t="n">
        <v>0.9</v>
      </c>
      <c r="D35" s="10" t="inlineStr">
        <is>
          <t>%</t>
        </is>
      </c>
      <c r="E35" s="11" t="inlineStr">
        <is>
          <t>Quota cumulativa veicoli attivi</t>
        </is>
      </c>
    </row>
    <row r="36">
      <c r="B36" s="4" t="inlineStr">
        <is>
          <t>Mese 7</t>
        </is>
      </c>
      <c r="C36" s="18" t="n">
        <v>0.95</v>
      </c>
      <c r="D36" s="10" t="inlineStr">
        <is>
          <t>%</t>
        </is>
      </c>
      <c r="E36" s="11" t="inlineStr">
        <is>
          <t>Quota cumulativa veicoli attivi</t>
        </is>
      </c>
    </row>
    <row r="37">
      <c r="B37" s="4" t="inlineStr">
        <is>
          <t>Mese 8</t>
        </is>
      </c>
      <c r="C37" s="18" t="n">
        <v>1</v>
      </c>
      <c r="D37" s="10" t="inlineStr">
        <is>
          <t>%</t>
        </is>
      </c>
      <c r="E37" s="11" t="inlineStr">
        <is>
          <t>Quota cumulativa veicoli attivi</t>
        </is>
      </c>
    </row>
    <row r="38">
      <c r="B38" s="4" t="inlineStr">
        <is>
          <t>Mese 9</t>
        </is>
      </c>
      <c r="C38" s="18" t="n">
        <v>1</v>
      </c>
      <c r="D38" s="10" t="inlineStr">
        <is>
          <t>%</t>
        </is>
      </c>
      <c r="E38" s="11" t="inlineStr">
        <is>
          <t>Quota cumulativa veicoli attivi</t>
        </is>
      </c>
    </row>
    <row r="39">
      <c r="B39" s="4" t="inlineStr">
        <is>
          <t>Mese 10</t>
        </is>
      </c>
      <c r="C39" s="18" t="n">
        <v>1</v>
      </c>
      <c r="D39" s="10" t="inlineStr">
        <is>
          <t>%</t>
        </is>
      </c>
      <c r="E39" s="11" t="inlineStr">
        <is>
          <t>Quota cumulativa veicoli attivi</t>
        </is>
      </c>
    </row>
    <row r="40">
      <c r="B40" s="4" t="inlineStr">
        <is>
          <t>Mese 11</t>
        </is>
      </c>
      <c r="C40" s="18" t="n">
        <v>1</v>
      </c>
      <c r="D40" s="10" t="inlineStr">
        <is>
          <t>%</t>
        </is>
      </c>
      <c r="E40" s="11" t="inlineStr">
        <is>
          <t>Quota cumulativa veicoli attivi</t>
        </is>
      </c>
    </row>
    <row r="41">
      <c r="B41" s="4" t="inlineStr">
        <is>
          <t>Mese 12</t>
        </is>
      </c>
      <c r="C41" s="18" t="n">
        <v>1</v>
      </c>
      <c r="D41" s="10" t="inlineStr">
        <is>
          <t>%</t>
        </is>
      </c>
      <c r="E41" s="11" t="inlineStr">
        <is>
          <t>Quota cumulativa veicoli attivi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E1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8" customWidth="1" min="2" max="2"/>
    <col width="18" customWidth="1" min="3" max="3"/>
    <col width="18" customWidth="1" min="4" max="4"/>
    <col width="18" customWidth="1" min="5" max="5"/>
  </cols>
  <sheetData>
    <row r="2">
      <c r="B2" s="1" t="inlineStr">
        <is>
          <t>Scenarios — Worst · Base · Best</t>
        </is>
      </c>
    </row>
    <row r="3">
      <c r="B3" s="2" t="inlineStr">
        <is>
          <t>Tutte le metriche derivano da Assumptions. Modificare lì per simulare.</t>
        </is>
      </c>
    </row>
    <row r="5">
      <c r="B5" s="19" t="inlineStr">
        <is>
          <t>Metrica</t>
        </is>
      </c>
      <c r="C5" s="20" t="inlineStr">
        <is>
          <t>WORST</t>
        </is>
      </c>
      <c r="D5" s="21" t="inlineStr">
        <is>
          <t>BASE</t>
        </is>
      </c>
      <c r="E5" s="22" t="inlineStr">
        <is>
          <t>BEST</t>
        </is>
      </c>
    </row>
    <row r="6">
      <c r="B6" s="23" t="inlineStr">
        <is>
          <t>Veicoli flotta</t>
        </is>
      </c>
      <c r="C6" s="24">
        <f>Assumptions!$C$17</f>
        <v/>
      </c>
      <c r="D6" s="24">
        <f>Assumptions!$C$18</f>
        <v/>
      </c>
      <c r="E6" s="24">
        <f>Assumptions!$C$19</f>
        <v/>
      </c>
    </row>
    <row r="7">
      <c r="B7" s="23" t="inlineStr">
        <is>
          <t>Emissioni/crediti consumati (tCO2)</t>
        </is>
      </c>
      <c r="C7" s="24">
        <f>C6*Assumptions!$C$13</f>
        <v/>
      </c>
      <c r="D7" s="24">
        <f>D6*Assumptions!$C$13</f>
        <v/>
      </c>
      <c r="E7" s="24">
        <f>E6*Assumptions!$C$13</f>
        <v/>
      </c>
    </row>
    <row r="8">
      <c r="B8" s="23" t="inlineStr">
        <is>
          <t>Ricavi @ Premium €15 (€)</t>
        </is>
      </c>
      <c r="C8" s="25">
        <f>C7*Assumptions!$C$11</f>
        <v/>
      </c>
      <c r="D8" s="25">
        <f>D7*Assumptions!$C$11</f>
        <v/>
      </c>
      <c r="E8" s="25">
        <f>E7*Assumptions!$C$11</f>
        <v/>
      </c>
    </row>
    <row r="9">
      <c r="B9" s="23" t="inlineStr">
        <is>
          <t>Costo crediti consumati (€)</t>
        </is>
      </c>
      <c r="C9" s="25">
        <f>C7*Assumptions!$C$7</f>
        <v/>
      </c>
      <c r="D9" s="25">
        <f>D7*Assumptions!$C$7</f>
        <v/>
      </c>
      <c r="E9" s="25">
        <f>E7*Assumptions!$C$7</f>
        <v/>
      </c>
    </row>
    <row r="10">
      <c r="B10" s="23" t="inlineStr">
        <is>
          <t>OPEX MRV variabili (€/anno)</t>
        </is>
      </c>
      <c r="C10" s="25">
        <f>C6*12*Assumptions!$C$23*(SUM(Assumptions!$C$30:$C$41)/12)</f>
        <v/>
      </c>
      <c r="D10" s="25">
        <f>D6*12*Assumptions!$C$23*(SUM(Assumptions!$C$30:$C$41)/12)</f>
        <v/>
      </c>
      <c r="E10" s="25">
        <f>E6*12*Assumptions!$C$23*(SUM(Assumptions!$C$30:$C$41)/12)</f>
        <v/>
      </c>
    </row>
    <row r="11">
      <c r="B11" s="23" t="inlineStr">
        <is>
          <t>OPEX fissi annuali (€)</t>
        </is>
      </c>
      <c r="C11" s="25">
        <f>Assumptions!$C$27</f>
        <v/>
      </c>
      <c r="D11" s="25">
        <f>Assumptions!$C$27</f>
        <v/>
      </c>
      <c r="E11" s="25">
        <f>Assumptions!$C$27</f>
        <v/>
      </c>
    </row>
    <row r="12">
      <c r="B12" s="26" t="inlineStr">
        <is>
          <t>Margine NetZero-Earth (€)</t>
        </is>
      </c>
      <c r="C12" s="27">
        <f>C8-C9-C10-C11</f>
        <v/>
      </c>
      <c r="D12" s="27">
        <f>D8-D9-D10-D11</f>
        <v/>
      </c>
      <c r="E12" s="27">
        <f>E8-E9-E10-E11</f>
        <v/>
      </c>
    </row>
    <row r="13">
      <c r="B13" s="23" t="inlineStr">
        <is>
          <t>Pool usage (% crediti consumati)</t>
        </is>
      </c>
      <c r="C13" s="28">
        <f>C7/Assumptions!$C$6</f>
        <v/>
      </c>
      <c r="D13" s="28">
        <f>D7/Assumptions!$C$6</f>
        <v/>
      </c>
      <c r="E13" s="28">
        <f>E7/Assumptions!$C$6</f>
        <v/>
      </c>
    </row>
    <row r="14">
      <c r="B14" s="23" t="inlineStr">
        <is>
          <t>Margine unitario / veicolo·anno (€)</t>
        </is>
      </c>
      <c r="C14" s="13">
        <f>IFERROR((C8-C9-C10)/C6,0)</f>
        <v/>
      </c>
      <c r="D14" s="13">
        <f>IFERROR((D8-D9-D10)/D6,0)</f>
        <v/>
      </c>
      <c r="E14" s="13">
        <f>IFERROR((E8-E9-E10)/E6,0)</f>
        <v/>
      </c>
    </row>
    <row r="15">
      <c r="B15" s="23" t="inlineStr">
        <is>
          <t>Break-even (mesi)</t>
        </is>
      </c>
      <c r="C15" s="29">
        <f>IFERROR(C11/((C8-C9-C10)/12),99)</f>
        <v/>
      </c>
      <c r="D15" s="29">
        <f>IFERROR(D11/((D8-D9-D10)/12),99)</f>
        <v/>
      </c>
      <c r="E15" s="29">
        <f>IFERROR(E11/((E8-E9-E10)/12),99)</f>
        <v/>
      </c>
    </row>
    <row r="16">
      <c r="B16" s="23" t="inlineStr">
        <is>
          <t>ROI margine / costi (x)</t>
        </is>
      </c>
      <c r="C16" s="30">
        <f>IFERROR(C12/(C9+C10+C11),0)</f>
        <v/>
      </c>
      <c r="D16" s="30">
        <f>IFERROR(D12/(D9+D10+D11),0)</f>
        <v/>
      </c>
      <c r="E16" s="30">
        <f>IFERROR(E12/(E9+E10+E11),0)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N1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2">
      <c r="B2" s="1" t="inlineStr">
        <is>
          <t>Monthly Ramp-up — Scenario BASE</t>
        </is>
      </c>
    </row>
    <row r="3">
      <c r="B3" s="2" t="inlineStr">
        <is>
          <t>Cambia veicoli scenario in C5 (oppure punta a un altro scenario di Assumptions).</t>
        </is>
      </c>
    </row>
    <row r="5">
      <c r="B5" s="3" t="inlineStr">
        <is>
          <t>Veicoli totali scenario:</t>
        </is>
      </c>
      <c r="C5" s="31">
        <f>Assumptions!$C$18</f>
        <v/>
      </c>
    </row>
    <row r="7">
      <c r="B7" s="32" t="inlineStr">
        <is>
          <t>Mese</t>
        </is>
      </c>
      <c r="C7" s="19" t="inlineStr">
        <is>
          <t>M1</t>
        </is>
      </c>
      <c r="D7" s="19" t="inlineStr">
        <is>
          <t>M2</t>
        </is>
      </c>
      <c r="E7" s="19" t="inlineStr">
        <is>
          <t>M3</t>
        </is>
      </c>
      <c r="F7" s="19" t="inlineStr">
        <is>
          <t>M4</t>
        </is>
      </c>
      <c r="G7" s="19" t="inlineStr">
        <is>
          <t>M5</t>
        </is>
      </c>
      <c r="H7" s="19" t="inlineStr">
        <is>
          <t>M6</t>
        </is>
      </c>
      <c r="I7" s="19" t="inlineStr">
        <is>
          <t>M7</t>
        </is>
      </c>
      <c r="J7" s="19" t="inlineStr">
        <is>
          <t>M8</t>
        </is>
      </c>
      <c r="K7" s="19" t="inlineStr">
        <is>
          <t>M9</t>
        </is>
      </c>
      <c r="L7" s="19" t="inlineStr">
        <is>
          <t>M10</t>
        </is>
      </c>
      <c r="M7" s="19" t="inlineStr">
        <is>
          <t>M11</t>
        </is>
      </c>
      <c r="N7" s="19" t="inlineStr">
        <is>
          <t>M12</t>
        </is>
      </c>
    </row>
    <row r="8">
      <c r="B8" s="23" t="inlineStr">
        <is>
          <t>Veicoli attivi (cum.)</t>
        </is>
      </c>
      <c r="C8" s="16">
        <f>ROUND($C$5*Assumptions!$C$30,0)</f>
        <v/>
      </c>
      <c r="D8" s="16">
        <f>ROUND($C$5*Assumptions!$C$31,0)</f>
        <v/>
      </c>
      <c r="E8" s="16">
        <f>ROUND($C$5*Assumptions!$C$32,0)</f>
        <v/>
      </c>
      <c r="F8" s="16">
        <f>ROUND($C$5*Assumptions!$C$33,0)</f>
        <v/>
      </c>
      <c r="G8" s="16">
        <f>ROUND($C$5*Assumptions!$C$34,0)</f>
        <v/>
      </c>
      <c r="H8" s="16">
        <f>ROUND($C$5*Assumptions!$C$35,0)</f>
        <v/>
      </c>
      <c r="I8" s="16">
        <f>ROUND($C$5*Assumptions!$C$36,0)</f>
        <v/>
      </c>
      <c r="J8" s="16">
        <f>ROUND($C$5*Assumptions!$C$37,0)</f>
        <v/>
      </c>
      <c r="K8" s="16">
        <f>ROUND($C$5*Assumptions!$C$38,0)</f>
        <v/>
      </c>
      <c r="L8" s="16">
        <f>ROUND($C$5*Assumptions!$C$39,0)</f>
        <v/>
      </c>
      <c r="M8" s="16">
        <f>ROUND($C$5*Assumptions!$C$40,0)</f>
        <v/>
      </c>
      <c r="N8" s="16">
        <f>ROUND($C$5*Assumptions!$C$41,0)</f>
        <v/>
      </c>
    </row>
    <row r="9">
      <c r="B9" s="23" t="inlineStr">
        <is>
          <t>Emissioni mensili (tCO2)</t>
        </is>
      </c>
      <c r="C9" s="33">
        <f>C8*Assumptions!$C$13/12</f>
        <v/>
      </c>
      <c r="D9" s="33">
        <f>D8*Assumptions!$C$13/12</f>
        <v/>
      </c>
      <c r="E9" s="33">
        <f>E8*Assumptions!$C$13/12</f>
        <v/>
      </c>
      <c r="F9" s="33">
        <f>F8*Assumptions!$C$13/12</f>
        <v/>
      </c>
      <c r="G9" s="33">
        <f>G8*Assumptions!$C$13/12</f>
        <v/>
      </c>
      <c r="H9" s="33">
        <f>H8*Assumptions!$C$13/12</f>
        <v/>
      </c>
      <c r="I9" s="33">
        <f>I8*Assumptions!$C$13/12</f>
        <v/>
      </c>
      <c r="J9" s="33">
        <f>J8*Assumptions!$C$13/12</f>
        <v/>
      </c>
      <c r="K9" s="33">
        <f>K8*Assumptions!$C$13/12</f>
        <v/>
      </c>
      <c r="L9" s="33">
        <f>L8*Assumptions!$C$13/12</f>
        <v/>
      </c>
      <c r="M9" s="33">
        <f>M8*Assumptions!$C$13/12</f>
        <v/>
      </c>
      <c r="N9" s="33">
        <f>N8*Assumptions!$C$13/12</f>
        <v/>
      </c>
    </row>
    <row r="10">
      <c r="B10" s="23" t="inlineStr">
        <is>
          <t>Ricavi mensili (€)</t>
        </is>
      </c>
      <c r="C10" s="13">
        <f>C9*Assumptions!$C$11</f>
        <v/>
      </c>
      <c r="D10" s="13">
        <f>D9*Assumptions!$C$11</f>
        <v/>
      </c>
      <c r="E10" s="13">
        <f>E9*Assumptions!$C$11</f>
        <v/>
      </c>
      <c r="F10" s="13">
        <f>F9*Assumptions!$C$11</f>
        <v/>
      </c>
      <c r="G10" s="13">
        <f>G9*Assumptions!$C$11</f>
        <v/>
      </c>
      <c r="H10" s="13">
        <f>H9*Assumptions!$C$11</f>
        <v/>
      </c>
      <c r="I10" s="13">
        <f>I9*Assumptions!$C$11</f>
        <v/>
      </c>
      <c r="J10" s="13">
        <f>J9*Assumptions!$C$11</f>
        <v/>
      </c>
      <c r="K10" s="13">
        <f>K9*Assumptions!$C$11</f>
        <v/>
      </c>
      <c r="L10" s="13">
        <f>L9*Assumptions!$C$11</f>
        <v/>
      </c>
      <c r="M10" s="13">
        <f>M9*Assumptions!$C$11</f>
        <v/>
      </c>
      <c r="N10" s="13">
        <f>N9*Assumptions!$C$11</f>
        <v/>
      </c>
    </row>
    <row r="11">
      <c r="B11" s="23" t="inlineStr">
        <is>
          <t>Costo crediti mens. (€)</t>
        </is>
      </c>
      <c r="C11" s="13">
        <f>C9*Assumptions!$C$7</f>
        <v/>
      </c>
      <c r="D11" s="13">
        <f>D9*Assumptions!$C$7</f>
        <v/>
      </c>
      <c r="E11" s="13">
        <f>E9*Assumptions!$C$7</f>
        <v/>
      </c>
      <c r="F11" s="13">
        <f>F9*Assumptions!$C$7</f>
        <v/>
      </c>
      <c r="G11" s="13">
        <f>G9*Assumptions!$C$7</f>
        <v/>
      </c>
      <c r="H11" s="13">
        <f>H9*Assumptions!$C$7</f>
        <v/>
      </c>
      <c r="I11" s="13">
        <f>I9*Assumptions!$C$7</f>
        <v/>
      </c>
      <c r="J11" s="13">
        <f>J9*Assumptions!$C$7</f>
        <v/>
      </c>
      <c r="K11" s="13">
        <f>K9*Assumptions!$C$7</f>
        <v/>
      </c>
      <c r="L11" s="13">
        <f>L9*Assumptions!$C$7</f>
        <v/>
      </c>
      <c r="M11" s="13">
        <f>M9*Assumptions!$C$7</f>
        <v/>
      </c>
      <c r="N11" s="13">
        <f>N9*Assumptions!$C$7</f>
        <v/>
      </c>
    </row>
    <row r="12">
      <c r="B12" s="23" t="inlineStr">
        <is>
          <t>OPEX MRV mens. (€)</t>
        </is>
      </c>
      <c r="C12" s="13">
        <f>C8*Assumptions!$C$23</f>
        <v/>
      </c>
      <c r="D12" s="13">
        <f>D8*Assumptions!$C$23</f>
        <v/>
      </c>
      <c r="E12" s="13">
        <f>E8*Assumptions!$C$23</f>
        <v/>
      </c>
      <c r="F12" s="13">
        <f>F8*Assumptions!$C$23</f>
        <v/>
      </c>
      <c r="G12" s="13">
        <f>G8*Assumptions!$C$23</f>
        <v/>
      </c>
      <c r="H12" s="13">
        <f>H8*Assumptions!$C$23</f>
        <v/>
      </c>
      <c r="I12" s="13">
        <f>I8*Assumptions!$C$23</f>
        <v/>
      </c>
      <c r="J12" s="13">
        <f>J8*Assumptions!$C$23</f>
        <v/>
      </c>
      <c r="K12" s="13">
        <f>K8*Assumptions!$C$23</f>
        <v/>
      </c>
      <c r="L12" s="13">
        <f>L8*Assumptions!$C$23</f>
        <v/>
      </c>
      <c r="M12" s="13">
        <f>M8*Assumptions!$C$23</f>
        <v/>
      </c>
      <c r="N12" s="13">
        <f>N8*Assumptions!$C$23</f>
        <v/>
      </c>
    </row>
    <row r="13">
      <c r="B13" s="23" t="inlineStr">
        <is>
          <t>OPEX fissi mens. (€)</t>
        </is>
      </c>
      <c r="C13" s="13">
        <f>Assumptions!$C$27/12</f>
        <v/>
      </c>
      <c r="D13" s="13">
        <f>Assumptions!$C$27/12</f>
        <v/>
      </c>
      <c r="E13" s="13">
        <f>Assumptions!$C$27/12</f>
        <v/>
      </c>
      <c r="F13" s="13">
        <f>Assumptions!$C$27/12</f>
        <v/>
      </c>
      <c r="G13" s="13">
        <f>Assumptions!$C$27/12</f>
        <v/>
      </c>
      <c r="H13" s="13">
        <f>Assumptions!$C$27/12</f>
        <v/>
      </c>
      <c r="I13" s="13">
        <f>Assumptions!$C$27/12</f>
        <v/>
      </c>
      <c r="J13" s="13">
        <f>Assumptions!$C$27/12</f>
        <v/>
      </c>
      <c r="K13" s="13">
        <f>Assumptions!$C$27/12</f>
        <v/>
      </c>
      <c r="L13" s="13">
        <f>Assumptions!$C$27/12</f>
        <v/>
      </c>
      <c r="M13" s="13">
        <f>Assumptions!$C$27/12</f>
        <v/>
      </c>
      <c r="N13" s="13">
        <f>Assumptions!$C$27/12</f>
        <v/>
      </c>
    </row>
    <row r="14">
      <c r="B14" s="26" t="inlineStr">
        <is>
          <t>Margine mensile (€)</t>
        </is>
      </c>
      <c r="C14" s="34">
        <f>C10-C11-C12-C13</f>
        <v/>
      </c>
      <c r="D14" s="34">
        <f>D10-D11-D12-D13</f>
        <v/>
      </c>
      <c r="E14" s="34">
        <f>E10-E11-E12-E13</f>
        <v/>
      </c>
      <c r="F14" s="34">
        <f>F10-F11-F12-F13</f>
        <v/>
      </c>
      <c r="G14" s="34">
        <f>G10-G11-G12-G13</f>
        <v/>
      </c>
      <c r="H14" s="34">
        <f>H10-H11-H12-H13</f>
        <v/>
      </c>
      <c r="I14" s="34">
        <f>I10-I11-I12-I13</f>
        <v/>
      </c>
      <c r="J14" s="34">
        <f>J10-J11-J12-J13</f>
        <v/>
      </c>
      <c r="K14" s="34">
        <f>K10-K11-K12-K13</f>
        <v/>
      </c>
      <c r="L14" s="34">
        <f>L10-L11-L12-L13</f>
        <v/>
      </c>
      <c r="M14" s="34">
        <f>M10-M11-M12-M13</f>
        <v/>
      </c>
      <c r="N14" s="34">
        <f>N10-N11-N12-N13</f>
        <v/>
      </c>
    </row>
    <row r="15">
      <c r="B15" s="26" t="inlineStr">
        <is>
          <t>Margine cumulato (€)</t>
        </is>
      </c>
      <c r="C15" s="27">
        <f>C14</f>
        <v/>
      </c>
      <c r="D15" s="27">
        <f>C15+D14</f>
        <v/>
      </c>
      <c r="E15" s="27">
        <f>D15+E14</f>
        <v/>
      </c>
      <c r="F15" s="27">
        <f>E15+F14</f>
        <v/>
      </c>
      <c r="G15" s="27">
        <f>F15+G14</f>
        <v/>
      </c>
      <c r="H15" s="27">
        <f>G15+H14</f>
        <v/>
      </c>
      <c r="I15" s="27">
        <f>H15+I14</f>
        <v/>
      </c>
      <c r="J15" s="27">
        <f>I15+J14</f>
        <v/>
      </c>
      <c r="K15" s="27">
        <f>J15+K14</f>
        <v/>
      </c>
      <c r="L15" s="27">
        <f>K15+L14</f>
        <v/>
      </c>
      <c r="M15" s="27">
        <f>L15+M14</f>
        <v/>
      </c>
      <c r="N15" s="27">
        <f>M15+N14</f>
        <v/>
      </c>
    </row>
  </sheetData>
  <conditionalFormatting sqref="C15:N15">
    <cfRule type="cellIs" priority="1" operator="greaterThan" dxfId="0">
      <formula>0</formula>
    </cfRule>
    <cfRule type="cellIs" priority="2" operator="lessThan" dxfId="1">
      <formula>0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E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2">
      <c r="B2" s="1" t="inlineStr">
        <is>
          <t>Sensitivity — Scenario BASE</t>
        </is>
      </c>
    </row>
    <row r="3">
      <c r="B3" s="2" t="inlineStr">
        <is>
          <t>Variazione prezzo vendita × emissioni per veicolo·anno (5.000 veicoli).</t>
        </is>
      </c>
    </row>
    <row r="5">
      <c r="B5" s="35" t="inlineStr">
        <is>
          <t>BREAK-EVEN (mesi)</t>
        </is>
      </c>
      <c r="C5" s="8" t="n"/>
      <c r="D5" s="8" t="n"/>
      <c r="E5" s="8" t="n"/>
    </row>
    <row r="6">
      <c r="B6" s="36" t="inlineStr">
        <is>
          <t>t/veh·anno ↓ / €/tCO2 →</t>
        </is>
      </c>
      <c r="C6" s="37" t="n">
        <v>12</v>
      </c>
      <c r="D6" s="37" t="n">
        <v>15</v>
      </c>
      <c r="E6" s="37" t="n">
        <v>18</v>
      </c>
    </row>
    <row r="7">
      <c r="B7" s="37" t="n">
        <v>2</v>
      </c>
      <c r="C7" s="38">
        <f>IFERROR(Assumptions!$C$27/((Assumptions!$C$18*$B7*(C$6-Assumptions!$C$7) - Assumptions!$C$18*Assumptions!$C$23*12*(SUM(Assumptions!$C$30:$C$41)/12))/12),99)</f>
        <v/>
      </c>
      <c r="D7" s="38">
        <f>IFERROR(Assumptions!$C$27/((Assumptions!$C$18*$B7*(D$6-Assumptions!$C$7) - Assumptions!$C$18*Assumptions!$C$23*12*(SUM(Assumptions!$C$30:$C$41)/12))/12),99)</f>
        <v/>
      </c>
      <c r="E7" s="38">
        <f>IFERROR(Assumptions!$C$27/((Assumptions!$C$18*$B7*(E$6-Assumptions!$C$7) - Assumptions!$C$18*Assumptions!$C$23*12*(SUM(Assumptions!$C$30:$C$41)/12))/12),99)</f>
        <v/>
      </c>
    </row>
    <row r="8">
      <c r="B8" s="37" t="n">
        <v>2.5</v>
      </c>
      <c r="C8" s="38">
        <f>IFERROR(Assumptions!$C$27/((Assumptions!$C$18*$B8*(C$6-Assumptions!$C$7) - Assumptions!$C$18*Assumptions!$C$23*12*(SUM(Assumptions!$C$30:$C$41)/12))/12),99)</f>
        <v/>
      </c>
      <c r="D8" s="39">
        <f>IFERROR(Assumptions!$C$27/((Assumptions!$C$18*$B8*(D$6-Assumptions!$C$7) - Assumptions!$C$18*Assumptions!$C$23*12*(SUM(Assumptions!$C$30:$C$41)/12))/12),99)</f>
        <v/>
      </c>
      <c r="E8" s="38">
        <f>IFERROR(Assumptions!$C$27/((Assumptions!$C$18*$B8*(E$6-Assumptions!$C$7) - Assumptions!$C$18*Assumptions!$C$23*12*(SUM(Assumptions!$C$30:$C$41)/12))/12),99)</f>
        <v/>
      </c>
    </row>
    <row r="9">
      <c r="B9" s="37" t="n">
        <v>3</v>
      </c>
      <c r="C9" s="38">
        <f>IFERROR(Assumptions!$C$27/((Assumptions!$C$18*$B9*(C$6-Assumptions!$C$7) - Assumptions!$C$18*Assumptions!$C$23*12*(SUM(Assumptions!$C$30:$C$41)/12))/12),99)</f>
        <v/>
      </c>
      <c r="D9" s="38">
        <f>IFERROR(Assumptions!$C$27/((Assumptions!$C$18*$B9*(D$6-Assumptions!$C$7) - Assumptions!$C$18*Assumptions!$C$23*12*(SUM(Assumptions!$C$30:$C$41)/12))/12),99)</f>
        <v/>
      </c>
      <c r="E9" s="38">
        <f>IFERROR(Assumptions!$C$27/((Assumptions!$C$18*$B9*(E$6-Assumptions!$C$7) - Assumptions!$C$18*Assumptions!$C$23*12*(SUM(Assumptions!$C$30:$C$41)/12))/12),99)</f>
        <v/>
      </c>
    </row>
    <row r="11">
      <c r="B11" s="3" t="inlineStr">
        <is>
          <t>Legenda:</t>
        </is>
      </c>
      <c r="C11" s="40" t="inlineStr">
        <is>
          <t>Verde ≤ 4 mesi</t>
        </is>
      </c>
      <c r="D11" s="41" t="inlineStr">
        <is>
          <t>Oro 4-6 mesi</t>
        </is>
      </c>
      <c r="E11" s="42" t="inlineStr">
        <is>
          <t>Rosso &gt; 6 mesi</t>
        </is>
      </c>
    </row>
    <row r="14">
      <c r="B14" s="35" t="inlineStr">
        <is>
          <t>MARGINE NETZERO-EARTH ANNUALE (€)</t>
        </is>
      </c>
      <c r="C14" s="8" t="n"/>
      <c r="D14" s="8" t="n"/>
      <c r="E14" s="8" t="n"/>
    </row>
    <row r="15">
      <c r="B15" s="36" t="inlineStr">
        <is>
          <t>t/veh·anno ↓ / €/tCO2 →</t>
        </is>
      </c>
      <c r="C15" s="37" t="n">
        <v>12</v>
      </c>
      <c r="D15" s="37" t="n">
        <v>15</v>
      </c>
      <c r="E15" s="37" t="n">
        <v>18</v>
      </c>
    </row>
    <row r="16">
      <c r="B16" s="37" t="n">
        <v>2</v>
      </c>
      <c r="C16" s="43">
        <f>Assumptions!$C$18*$B16*(C$15-Assumptions!$C$7)-Assumptions!$C$18*Assumptions!$C$23*12*(SUM(Assumptions!$C$30:$C$41)/12)-Assumptions!$C$27</f>
        <v/>
      </c>
      <c r="D16" s="43">
        <f>Assumptions!$C$18*$B16*(D$15-Assumptions!$C$7)-Assumptions!$C$18*Assumptions!$C$23*12*(SUM(Assumptions!$C$30:$C$41)/12)-Assumptions!$C$27</f>
        <v/>
      </c>
      <c r="E16" s="43">
        <f>Assumptions!$C$18*$B16*(E$15-Assumptions!$C$7)-Assumptions!$C$18*Assumptions!$C$23*12*(SUM(Assumptions!$C$30:$C$41)/12)-Assumptions!$C$27</f>
        <v/>
      </c>
    </row>
    <row r="17">
      <c r="B17" s="37" t="n">
        <v>2.5</v>
      </c>
      <c r="C17" s="43">
        <f>Assumptions!$C$18*$B17*(C$15-Assumptions!$C$7)-Assumptions!$C$18*Assumptions!$C$23*12*(SUM(Assumptions!$C$30:$C$41)/12)-Assumptions!$C$27</f>
        <v/>
      </c>
      <c r="D17" s="44">
        <f>Assumptions!$C$18*$B17*(D$15-Assumptions!$C$7)-Assumptions!$C$18*Assumptions!$C$23*12*(SUM(Assumptions!$C$30:$C$41)/12)-Assumptions!$C$27</f>
        <v/>
      </c>
      <c r="E17" s="43">
        <f>Assumptions!$C$18*$B17*(E$15-Assumptions!$C$7)-Assumptions!$C$18*Assumptions!$C$23*12*(SUM(Assumptions!$C$30:$C$41)/12)-Assumptions!$C$27</f>
        <v/>
      </c>
    </row>
    <row r="18">
      <c r="B18" s="37" t="n">
        <v>3</v>
      </c>
      <c r="C18" s="43">
        <f>Assumptions!$C$18*$B18*(C$15-Assumptions!$C$7)-Assumptions!$C$18*Assumptions!$C$23*12*(SUM(Assumptions!$C$30:$C$41)/12)-Assumptions!$C$27</f>
        <v/>
      </c>
      <c r="D18" s="43">
        <f>Assumptions!$C$18*$B18*(D$15-Assumptions!$C$7)-Assumptions!$C$18*Assumptions!$C$23*12*(SUM(Assumptions!$C$30:$C$41)/12)-Assumptions!$C$27</f>
        <v/>
      </c>
      <c r="E18" s="43">
        <f>Assumptions!$C$18*$B18*(E$15-Assumptions!$C$7)-Assumptions!$C$18*Assumptions!$C$23*12*(SUM(Assumptions!$C$30:$C$41)/12)-Assumptions!$C$27</f>
        <v/>
      </c>
    </row>
  </sheetData>
  <conditionalFormatting sqref="C7:E9">
    <cfRule type="cellIs" priority="1" operator="lessThanOrEqual" dxfId="0">
      <formula>4</formula>
    </cfRule>
    <cfRule type="cellIs" priority="2" operator="between" dxfId="2">
      <formula>4</formula>
      <formula>6</formula>
    </cfRule>
    <cfRule type="cellIs" priority="3" operator="greaterThan" dxfId="1">
      <formula>6</formula>
    </cfRule>
  </conditionalFormatting>
  <conditionalFormatting sqref="C16:E18">
    <cfRule type="colorScale" priority="4">
      <colorScale>
        <cfvo type="min"/>
        <cfvo type="percentile" val="50"/>
        <cfvo type="max"/>
        <color rgb="00F8D7DA"/>
        <color rgb="00FFF3CD"/>
        <color rgb="00D4EDDA"/>
      </colorScale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D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4" customWidth="1" min="2" max="2"/>
    <col width="18" customWidth="1" min="3" max="3"/>
    <col width="60" customWidth="1" min="4" max="4"/>
  </cols>
  <sheetData>
    <row r="2">
      <c r="B2" s="1" t="inlineStr">
        <is>
          <t>Client ROI — Valore per il cliente automotive</t>
        </is>
      </c>
    </row>
    <row r="3">
      <c r="B3" s="2" t="inlineStr">
        <is>
          <t>ROI ESG: investimento compensazione vs valore tangibile e intangibile.</t>
        </is>
      </c>
    </row>
    <row r="5">
      <c r="B5" s="8" t="inlineStr">
        <is>
          <t>INVESTIMENTO CLIENTE (scenario BASE)</t>
        </is>
      </c>
      <c r="C5" s="8" t="n"/>
      <c r="D5" s="8" t="n"/>
    </row>
    <row r="6">
      <c r="B6" s="4" t="inlineStr">
        <is>
          <t>Veicoli flotta</t>
        </is>
      </c>
      <c r="C6" s="31">
        <f>Assumptions!$C$18</f>
        <v/>
      </c>
      <c r="D6" s="2" t="inlineStr">
        <is>
          <t>Da Assumptions BASE</t>
        </is>
      </c>
    </row>
    <row r="7">
      <c r="B7" s="4" t="inlineStr">
        <is>
          <t>Emissioni totali (tCO2)</t>
        </is>
      </c>
      <c r="C7" s="45">
        <f>C6*Assumptions!C13</f>
        <v/>
      </c>
      <c r="D7" s="2" t="inlineStr">
        <is>
          <t>Veicoli × t/anno</t>
        </is>
      </c>
    </row>
    <row r="8">
      <c r="B8" s="4" t="inlineStr">
        <is>
          <t>Prezzo €/tCO2</t>
        </is>
      </c>
      <c r="C8" s="46">
        <f>Assumptions!$C$11</f>
        <v/>
      </c>
      <c r="D8" s="2" t="inlineStr">
        <is>
          <t>Da Assumptions Premium</t>
        </is>
      </c>
    </row>
    <row r="9">
      <c r="B9" s="3" t="inlineStr">
        <is>
          <t>Investimento totale annuo (€)</t>
        </is>
      </c>
      <c r="C9" s="47">
        <f>C7*C8</f>
        <v/>
      </c>
      <c r="D9" s="2" t="inlineStr">
        <is>
          <t>Tot crediti × prezzo</t>
        </is>
      </c>
    </row>
    <row r="10">
      <c r="B10" s="4" t="inlineStr">
        <is>
          <t>Investimento per veicolo·anno (€)</t>
        </is>
      </c>
      <c r="C10" s="48">
        <f>C9/C6</f>
        <v/>
      </c>
      <c r="D10" s="2">
        <f> t × €/tCO2</f>
        <v/>
      </c>
    </row>
    <row r="12">
      <c r="B12" s="8" t="inlineStr">
        <is>
          <t>VALORE GENERATO (€/anno) — modificabile</t>
        </is>
      </c>
      <c r="C12" s="8" t="n"/>
      <c r="D12" s="8" t="n"/>
    </row>
    <row r="13">
      <c r="B13" s="4" t="inlineStr">
        <is>
          <t>ESG audit-ready (riduz. costi audit straordinari)</t>
        </is>
      </c>
      <c r="C13" s="49" t="n">
        <v>150000</v>
      </c>
      <c r="D13" s="2" t="inlineStr">
        <is>
          <t>Reportistica pronta per CSRD/ISO</t>
        </is>
      </c>
    </row>
    <row r="14">
      <c r="B14" s="4" t="inlineStr">
        <is>
          <t>Premium pricing leasing (clienti corporate ESG)</t>
        </is>
      </c>
      <c r="C14" s="49" t="n">
        <v>250000</v>
      </c>
      <c r="D14" s="2" t="inlineStr">
        <is>
          <t>+1-2% margine su flotta clienti CSRD</t>
        </is>
      </c>
    </row>
    <row r="15">
      <c r="B15" s="4" t="inlineStr">
        <is>
          <t>Riduzione costi compliance CSRD/CBAM</t>
        </is>
      </c>
      <c r="C15" s="49" t="n">
        <v>120000</v>
      </c>
      <c r="D15" s="2" t="inlineStr">
        <is>
          <t>Scope 1-3 reporting incluso</t>
        </is>
      </c>
    </row>
    <row r="16">
      <c r="B16" s="4" t="inlineStr">
        <is>
          <t>Brand &amp; PR (equivalente media earned)</t>
        </is>
      </c>
      <c r="C16" s="49" t="n">
        <v>80000</v>
      </c>
      <c r="D16" s="2" t="inlineStr">
        <is>
          <t>Comunicazione climate action</t>
        </is>
      </c>
    </row>
    <row r="17">
      <c r="B17" s="4" t="inlineStr">
        <is>
          <t>Riduzione rischio carbon tax futura</t>
        </is>
      </c>
      <c r="C17" s="49" t="n">
        <v>100000</v>
      </c>
      <c r="D17" s="2" t="inlineStr">
        <is>
          <t>Hedging EU ETS estensione</t>
        </is>
      </c>
    </row>
    <row r="18">
      <c r="B18" s="4" t="inlineStr">
        <is>
          <t>Eligibility green financing (sustainability-linked)</t>
        </is>
      </c>
      <c r="C18" s="49" t="n">
        <v>180000</v>
      </c>
      <c r="D18" s="2" t="inlineStr">
        <is>
          <t>Tassi agevolati su debito ESG</t>
        </is>
      </c>
    </row>
    <row r="19">
      <c r="B19" s="3" t="inlineStr">
        <is>
          <t>VALORE TOTALE (€/anno)</t>
        </is>
      </c>
      <c r="C19" s="50">
        <f>SUM(C13:C18)</f>
        <v/>
      </c>
    </row>
    <row r="21">
      <c r="B21" s="8" t="inlineStr">
        <is>
          <t>METRICHE ROI</t>
        </is>
      </c>
      <c r="C21" s="8" t="n"/>
      <c r="D21" s="8" t="n"/>
    </row>
    <row r="22">
      <c r="B22" s="3" t="inlineStr">
        <is>
          <t>ROI Multiple (x)</t>
        </is>
      </c>
      <c r="C22" s="51">
        <f>C19/C9</f>
        <v/>
      </c>
      <c r="D22" s="2" t="inlineStr">
        <is>
          <t>Valore / investimento</t>
        </is>
      </c>
    </row>
    <row r="23">
      <c r="B23" s="4" t="inlineStr">
        <is>
          <t>ROI %</t>
        </is>
      </c>
      <c r="C23" s="52">
        <f>(C19-C9)/C9</f>
        <v/>
      </c>
      <c r="D23" s="2" t="inlineStr">
        <is>
          <t>(Valore - Inv) / Inv</t>
        </is>
      </c>
    </row>
    <row r="24">
      <c r="B24" s="4" t="inlineStr">
        <is>
          <t>Payback (mesi)</t>
        </is>
      </c>
      <c r="C24" s="53">
        <f>IFERROR(12/(C19/C9),0)</f>
        <v/>
      </c>
      <c r="D24" s="2" t="inlineStr">
        <is>
          <t>12 / ROI multiple</t>
        </is>
      </c>
    </row>
    <row r="25">
      <c r="B25" s="3" t="inlineStr">
        <is>
          <t>Net Value (€/anno)</t>
        </is>
      </c>
      <c r="C25" s="54">
        <f>C19-C9</f>
        <v/>
      </c>
      <c r="D25" s="2" t="inlineStr">
        <is>
          <t>Valore - investimento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2026-04-18T02:35:28Z</dcterms:created>
  <dcterms:modified xmlns:dcterms="http://purl.org/dc/terms/" xmlns:xsi="http://www.w3.org/2001/XMLSchema-instance" xsi:type="dcterms:W3CDTF">2026-04-18T02:35:28Z</dcterms:modified>
</cp:coreProperties>
</file>